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ocuments\PLC\2022\"/>
    </mc:Choice>
  </mc:AlternateContent>
  <xr:revisionPtr revIDLastSave="0" documentId="13_ncr:1_{81A0386A-86B4-411F-89C8-AA5EE431EAE0}" xr6:coauthVersionLast="47" xr6:coauthVersionMax="47" xr10:uidLastSave="{00000000-0000-0000-0000-000000000000}"/>
  <bookViews>
    <workbookView xWindow="-110" yWindow="-110" windowWidth="19420" windowHeight="10300" xr2:uid="{2A024186-41EA-4F71-A6B4-FFDAF4DD79B4}"/>
  </bookViews>
  <sheets>
    <sheet name="Salary Worksheet" sheetId="8" r:id="rId1"/>
    <sheet name="Data Table" sheetId="7" r:id="rId2"/>
    <sheet name="Sheet3" sheetId="10" r:id="rId3"/>
    <sheet name="Roster Choices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D22" i="8"/>
  <c r="F2" i="7"/>
  <c r="D48" i="8"/>
  <c r="D14" i="8"/>
  <c r="D50" i="8"/>
  <c r="C15" i="10" l="1"/>
  <c r="F11" i="10"/>
  <c r="F12" i="10" s="1"/>
  <c r="C8" i="10" l="1"/>
  <c r="C9" i="10" l="1"/>
  <c r="C10" i="10" s="1"/>
  <c r="E5" i="7"/>
  <c r="D47" i="8"/>
  <c r="D46" i="8"/>
  <c r="D45" i="8"/>
  <c r="D44" i="8"/>
  <c r="D17" i="8"/>
  <c r="D36" i="8"/>
  <c r="C11" i="10" l="1"/>
  <c r="C12" i="10"/>
  <c r="C13" i="10" s="1"/>
  <c r="D27" i="8"/>
  <c r="D11" i="8"/>
  <c r="C14" i="10" l="1"/>
  <c r="D19" i="8"/>
  <c r="D58" i="8" s="1"/>
  <c r="D24" i="8" l="1"/>
  <c r="D28" i="8" l="1"/>
  <c r="D30" i="8" l="1"/>
  <c r="D40" i="8" s="1"/>
  <c r="D53" i="8" s="1"/>
  <c r="D55" i="8" s="1"/>
  <c r="D62" i="8" s="1"/>
  <c r="D64" i="8" l="1"/>
  <c r="D66" i="8" s="1"/>
</calcChain>
</file>

<file path=xl/sharedStrings.xml><?xml version="1.0" encoding="utf-8"?>
<sst xmlns="http://schemas.openxmlformats.org/spreadsheetml/2006/main" count="125" uniqueCount="116">
  <si>
    <t>Worksheet Prompt:</t>
  </si>
  <si>
    <t>*Yellow cells - fill in information:</t>
  </si>
  <si>
    <t>Link to:</t>
  </si>
  <si>
    <t>Worksheet Tutorial Video</t>
  </si>
  <si>
    <t>STEP 1</t>
  </si>
  <si>
    <t>FORMULA</t>
  </si>
  <si>
    <t>CALCULATION</t>
  </si>
  <si>
    <t>Box A:</t>
  </si>
  <si>
    <t>LOCALIZED COST OF LIVING ADJUSTMENT</t>
  </si>
  <si>
    <t>Box B:</t>
  </si>
  <si>
    <t>Box C:</t>
  </si>
  <si>
    <t>YEARS OF EXPERIENCE</t>
  </si>
  <si>
    <t>Years of Experience:</t>
  </si>
  <si>
    <t>Box D:</t>
  </si>
  <si>
    <r>
      <t>Increasingly, persons with prior experience in relevant fields enter rostered ministry in our church. We seek to acknowledge the value of prior experience</t>
    </r>
    <r>
      <rPr>
        <u/>
        <sz val="10.5"/>
        <color theme="1"/>
        <rFont val="Trebuchet MS"/>
        <family val="2"/>
      </rPr>
      <t xml:space="preserve"> in relevant fields</t>
    </r>
    <r>
      <rPr>
        <sz val="10.5"/>
        <color theme="1"/>
        <rFont val="Trebuchet MS"/>
        <family val="2"/>
      </rPr>
      <t xml:space="preserve"> (e.g. teaching, finance, counseling, administration, social work, etc.) with this adjustment.</t>
    </r>
  </si>
  <si>
    <t>Years of Related Non-Pastoral Experience (max 16):</t>
  </si>
  <si>
    <t>FURTHER EDUCATION</t>
  </si>
  <si>
    <t>LANGUAGE PROFICIENCY</t>
  </si>
  <si>
    <t>Those who are bilingual in languages vital to their ministry context should be compensated for their unique skill.</t>
  </si>
  <si>
    <t>Step 3</t>
  </si>
  <si>
    <t>LONGEVITY IN CURRENT CALL</t>
  </si>
  <si>
    <t>Research has established that vibrant long-term pastorates are often associated with congregational vitality. We seek to reflect our shared valuing of healthy, longer tenured pastorates with this adjustment.</t>
  </si>
  <si>
    <t>Years of Service in current Call (max 10):</t>
  </si>
  <si>
    <t>Social Security Payment Allowance:</t>
  </si>
  <si>
    <t>*Green cells- automatically calculated:</t>
  </si>
  <si>
    <t>ROSTER SELECTION</t>
  </si>
  <si>
    <t>Click yellow box, pull down menu, and choose roster.</t>
  </si>
  <si>
    <t>Please select:</t>
  </si>
  <si>
    <t>Word &amp; Service</t>
  </si>
  <si>
    <t>STEP 2</t>
  </si>
  <si>
    <t>DETERMINING BASE CASH SALARY</t>
  </si>
  <si>
    <t>As per most professional compensation systems, we acknowledge the value of acquired skills, wisdom, and experiences that can only come from actual experience.</t>
  </si>
  <si>
    <t xml:space="preserve">YEARS OF RELATED EXPERIENCE </t>
  </si>
  <si>
    <t>The Boxes above quantify the value of experience and education a pastoral minister may possess. These factors will become a basis for adjustment to compensation.</t>
  </si>
  <si>
    <t>Contextual Compensation Additions</t>
  </si>
  <si>
    <t>NEGOTIATED COMPENSATION FOR 2022</t>
  </si>
  <si>
    <t>SYNOD RECOMMENDED- (only for Word &amp; Sacrament)</t>
  </si>
  <si>
    <t>Rosters</t>
  </si>
  <si>
    <t>Word &amp; Sacrament</t>
  </si>
  <si>
    <t>Part-time Calls (change % value if PT):</t>
  </si>
  <si>
    <t>Adjusted basic compensation</t>
  </si>
  <si>
    <t>Alaska Location and Cost-of-Living Adjustment</t>
  </si>
  <si>
    <t>Anchorage</t>
  </si>
  <si>
    <t>Fairbanks</t>
  </si>
  <si>
    <t>Location</t>
  </si>
  <si>
    <t>Index</t>
  </si>
  <si>
    <t>Juneau</t>
  </si>
  <si>
    <t>Southeast Small Communities</t>
  </si>
  <si>
    <t>Mat-Su</t>
  </si>
  <si>
    <t>Kenai Peninsula</t>
  </si>
  <si>
    <t>Nome</t>
  </si>
  <si>
    <t>Petersburg</t>
  </si>
  <si>
    <t>Valdez</t>
  </si>
  <si>
    <t>Kotzebue</t>
  </si>
  <si>
    <t>Dillingham</t>
  </si>
  <si>
    <r>
      <t xml:space="preserve">Although the Alaska Synod will provide guidelines and baseline compensation levels, congregations ought to annually review and revise compensation for their rostered ministers. </t>
    </r>
    <r>
      <rPr>
        <b/>
        <sz val="10.5"/>
        <color theme="1"/>
        <rFont val="Trebuchet MS"/>
        <family val="2"/>
      </rPr>
      <t>Acknowledging the amount in Boxes A as a “baseline” and Box C as “appropriate,” it is the opportunity of the congregation to adjust based on context/situation (add additional amounts in the yellow boxes)</t>
    </r>
    <r>
      <rPr>
        <sz val="10.5"/>
        <color theme="1"/>
        <rFont val="Trebuchet MS"/>
        <family val="2"/>
      </rPr>
      <t>:</t>
    </r>
  </si>
  <si>
    <t>Lutherans have long expected that their rostered ministers be well-educated. This credit seeks to account for and encourage life-long learning for leadership.  Enter degrees beyond Mdiv for pastors and MA for deacons (PhD., DMin, additional graduate level licensing or credentialing = 1)</t>
  </si>
  <si>
    <r>
      <t xml:space="preserve">· </t>
    </r>
    <r>
      <rPr>
        <i/>
        <sz val="10"/>
        <color theme="1"/>
        <rFont val="Trebuchet MS"/>
        <family val="2"/>
      </rPr>
      <t>Does our pastor or deacon bring any special skills to this ministry that ought to be compensated?</t>
    </r>
  </si>
  <si>
    <t>- Does our pastor or deacon bear significant added administrative / leadership responsibility?</t>
  </si>
  <si>
    <r>
      <t xml:space="preserve">- </t>
    </r>
    <r>
      <rPr>
        <i/>
        <sz val="10"/>
        <color theme="1"/>
        <rFont val="Trebuchet MS"/>
        <family val="2"/>
      </rPr>
      <t>During the past year, has our pastor or deacon met the ministry goals which had been mutually established by the pastor and the congregation?</t>
    </r>
  </si>
  <si>
    <t>- Are we expecting our pastor or deacon to take on any significant new responsibilities this year?</t>
  </si>
  <si>
    <r>
      <t xml:space="preserve">· </t>
    </r>
    <r>
      <rPr>
        <i/>
        <sz val="10"/>
        <color theme="1"/>
        <rFont val="Trebuchet MS"/>
        <family val="2"/>
      </rPr>
      <t xml:space="preserve">Are there any unique financial stresses which we should address in order to allow our pastor or deacon to better serve our community? </t>
    </r>
  </si>
  <si>
    <t>The Alaska Synod covers a large, economically diverse area with significant differences in cost of living related to housing, energy, food, and other basic expenses. This “cost-of-living” adjustment to the base compensation is intended to acknowledge that diversity.  Select the closest Alaska location to the clergy member's home from the drop-down list</t>
  </si>
  <si>
    <t>Brevig, Shishmaref, Teller, Wales or Seward Peninsula</t>
  </si>
  <si>
    <t>Region in state report</t>
  </si>
  <si>
    <t>Seward, Soldotna</t>
  </si>
  <si>
    <t>Wrangell</t>
  </si>
  <si>
    <t>Ketchikan, Sitka</t>
  </si>
  <si>
    <t>Southeast Mid-sized Communities</t>
  </si>
  <si>
    <t>Fairbanks/North Pole</t>
  </si>
  <si>
    <t>Bethel</t>
  </si>
  <si>
    <t>Word and Service base set at $10,000 less than Word and Sacrament.</t>
  </si>
  <si>
    <t>Salary Increment</t>
  </si>
  <si>
    <t>PARSONAGE</t>
  </si>
  <si>
    <t>Parsonage:</t>
  </si>
  <si>
    <t>If a parsonage is not provided 30% of the above will be added to the base salary</t>
  </si>
  <si>
    <t>Cost of Living Adjustment</t>
  </si>
  <si>
    <t>COMPENSATION ADJUSTMENT</t>
  </si>
  <si>
    <t>Box E:</t>
  </si>
  <si>
    <t>Language Proficiency (bilingual) vital to ministry (enter "1"):</t>
  </si>
  <si>
    <t>Further Education (enter "1"):</t>
  </si>
  <si>
    <t>Compensation Adjustment:</t>
  </si>
  <si>
    <t>ANNUAL BASE SALARY:</t>
  </si>
  <si>
    <t>Box F:</t>
  </si>
  <si>
    <t>Box G:</t>
  </si>
  <si>
    <t>The amount in Box F represents our mutually-negotiated pastoral compensation for the coming year. (Note: Adjust accordingly if the terms of call are less than full-time, or if use of a parsonage is included as a portion of compensation).</t>
  </si>
  <si>
    <t>Nagotiated Compensation Adjustment:</t>
  </si>
  <si>
    <t>SS FICA</t>
  </si>
  <si>
    <t>SOCIAL   SECURITY   OFFSET</t>
  </si>
  <si>
    <t>Value of Parsonage when provided:</t>
  </si>
  <si>
    <t>(Please note that this is NOT “housing allowance” as defined by IRS regulations, but rather is a way to acknowledge higher costs of living and housing in many of our congregational service areas.)                Click yellow box, pull down menu, and choose location</t>
  </si>
  <si>
    <t>Our guidelines recommend churches accept responsibility for half of pastors’ social security tax payment, just as they do for non-ordained employees under the Self-Employed Contributions Act (SECA).  The pastor or deacon is responsible for the tax in full.</t>
  </si>
  <si>
    <t>Credit calculated:  Enter Yes if a parsonage is provided or No if a parsonage is not provided</t>
  </si>
  <si>
    <t>Credit calculated:  One half of Salary Increment for each year of prior experience in a relevant field.</t>
  </si>
  <si>
    <t>Credit calculated:  Salary Increment for each year of service as an ordained pastor</t>
  </si>
  <si>
    <t>Reminder:  This worksheet represents approximately 70% of the costs of a pastor. Additional costs include social security, medical benefits, pension plans, continuing education, First Call Theological Education, and automobile &amp; professional expenses.</t>
  </si>
  <si>
    <t>start salary</t>
  </si>
  <si>
    <t>15 yr service</t>
  </si>
  <si>
    <t>30% for housing</t>
  </si>
  <si>
    <t>sub total</t>
  </si>
  <si>
    <t>ss</t>
  </si>
  <si>
    <t>/$1000</t>
  </si>
  <si>
    <t>loss in salary</t>
  </si>
  <si>
    <t>STARTING   SALARY</t>
  </si>
  <si>
    <t>TOTAL DEFINED COMPENSATION for Portico:</t>
  </si>
  <si>
    <t>TOTAL CASH TO PASTOR:</t>
  </si>
  <si>
    <t>Annual Increase for</t>
  </si>
  <si>
    <t>Fields F1 and F3 need to be increased annually by the amount set by the Alaska Synod</t>
  </si>
  <si>
    <t>The Alaska Synod annually sets a salary by consulting the consulting various current economic indicators, including, but not limited to, changes in the Anchorage Consumer Price Index-U.  The total salary reflects a 4.0% increase for 2024 from  2023.</t>
  </si>
  <si>
    <t>This includeds the annual % increase</t>
  </si>
  <si>
    <t>Data Table worksheet changes</t>
  </si>
  <si>
    <t>Salary Worksheet changes</t>
  </si>
  <si>
    <t>Field B10 needs to be updated to refect years and annual increase</t>
  </si>
  <si>
    <t>Credit calculated:  2 years of service.</t>
  </si>
  <si>
    <t>Credit calculated: 5 years of service.</t>
  </si>
  <si>
    <t>Credit calculation:  Multiply the number of years of service in one’s current ministry context (maximum 10 years) to determine the recommended bonus amount. If this is a new call in a new ministry you would enter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</si>
</sst>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rgb="FFFFFFFF"/>
      <name val="Trebuchet MS"/>
      <family val="2"/>
    </font>
    <font>
      <sz val="11"/>
      <name val="Trebuchet MS"/>
      <family val="2"/>
    </font>
    <font>
      <sz val="10.5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10.5"/>
      <color theme="1"/>
      <name val="Trebuchet MS"/>
      <family val="2"/>
    </font>
    <font>
      <sz val="10.5"/>
      <color rgb="FF222222"/>
      <name val="Trebuchet MS"/>
      <family val="2"/>
    </font>
    <font>
      <i/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.5"/>
      <color theme="1"/>
      <name val="Trebuchet MS"/>
      <family val="2"/>
    </font>
    <font>
      <sz val="11"/>
      <color rgb="FF9C5700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Trebuchet MS"/>
      <family val="2"/>
    </font>
    <font>
      <i/>
      <sz val="10.5"/>
      <name val="Trebuchet MS"/>
      <family val="2"/>
    </font>
    <font>
      <sz val="11"/>
      <color rgb="FF222222"/>
      <name val="Calibri"/>
      <family val="2"/>
      <scheme val="minor"/>
    </font>
    <font>
      <b/>
      <sz val="11"/>
      <color rgb="FF9C5700"/>
      <name val="Trebuchet MS"/>
      <family val="2"/>
    </font>
    <font>
      <sz val="11"/>
      <color rgb="FF9C5700"/>
      <name val="Trebuchet MS"/>
      <family val="2"/>
    </font>
    <font>
      <i/>
      <sz val="11"/>
      <color theme="1"/>
      <name val="Trebuchet MS"/>
      <family val="2"/>
    </font>
    <font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5" fillId="7" borderId="0" applyNumberFormat="0" applyBorder="0" applyAlignment="0" applyProtection="0"/>
    <xf numFmtId="44" fontId="20" fillId="0" borderId="0" applyFont="0" applyFill="0" applyBorder="0" applyAlignment="0" applyProtection="0"/>
  </cellStyleXfs>
  <cellXfs count="126">
    <xf numFmtId="0" fontId="0" fillId="0" borderId="0" xfId="0"/>
    <xf numFmtId="0" fontId="19" fillId="0" borderId="0" xfId="0" applyFont="1"/>
    <xf numFmtId="0" fontId="0" fillId="0" borderId="0" xfId="0" applyAlignment="1">
      <alignment horizontal="left"/>
    </xf>
    <xf numFmtId="0" fontId="23" fillId="0" borderId="0" xfId="0" applyFont="1"/>
    <xf numFmtId="0" fontId="17" fillId="7" borderId="1" xfId="2" applyFont="1" applyBorder="1" applyAlignment="1" applyProtection="1">
      <alignment vertical="center"/>
      <protection locked="0"/>
    </xf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7" fillId="7" borderId="1" xfId="2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right" vertical="top" wrapText="1"/>
    </xf>
    <xf numFmtId="0" fontId="0" fillId="0" borderId="1" xfId="0" applyBorder="1"/>
    <xf numFmtId="0" fontId="16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right" indent="1"/>
    </xf>
    <xf numFmtId="0" fontId="3" fillId="5" borderId="1" xfId="0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4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16" fillId="3" borderId="1" xfId="0" applyFont="1" applyFill="1" applyBorder="1" applyAlignment="1">
      <alignment horizontal="right" vertical="top"/>
    </xf>
    <xf numFmtId="0" fontId="0" fillId="0" borderId="2" xfId="0" applyBorder="1"/>
    <xf numFmtId="0" fontId="22" fillId="0" borderId="1" xfId="0" applyFont="1" applyBorder="1" applyAlignment="1">
      <alignment horizontal="right" vertical="center" wrapText="1"/>
    </xf>
    <xf numFmtId="0" fontId="15" fillId="0" borderId="1" xfId="2" applyFill="1" applyBorder="1" applyAlignment="1" applyProtection="1">
      <alignment vertical="center" wrapText="1"/>
    </xf>
    <xf numFmtId="0" fontId="2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8" fillId="0" borderId="1" xfId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6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2" fillId="0" borderId="3" xfId="0" applyFont="1" applyBorder="1"/>
    <xf numFmtId="0" fontId="16" fillId="8" borderId="1" xfId="0" applyFont="1" applyFill="1" applyBorder="1" applyAlignment="1">
      <alignment horizontal="right" vertical="center"/>
    </xf>
    <xf numFmtId="164" fontId="4" fillId="9" borderId="2" xfId="0" applyNumberFormat="1" applyFont="1" applyFill="1" applyBorder="1" applyAlignment="1">
      <alignment vertical="top" wrapText="1"/>
    </xf>
    <xf numFmtId="164" fontId="6" fillId="9" borderId="2" xfId="0" applyNumberFormat="1" applyFont="1" applyFill="1" applyBorder="1" applyAlignment="1">
      <alignment vertical="center" wrapText="1"/>
    </xf>
    <xf numFmtId="164" fontId="6" fillId="9" borderId="2" xfId="3" applyNumberFormat="1" applyFont="1" applyFill="1" applyBorder="1" applyAlignment="1" applyProtection="1">
      <alignment vertical="center" wrapText="1"/>
    </xf>
    <xf numFmtId="164" fontId="6" fillId="9" borderId="2" xfId="3" quotePrefix="1" applyNumberFormat="1" applyFont="1" applyFill="1" applyBorder="1" applyAlignment="1" applyProtection="1">
      <alignment vertical="center" wrapText="1"/>
    </xf>
    <xf numFmtId="164" fontId="6" fillId="9" borderId="2" xfId="3" applyNumberFormat="1" applyFont="1" applyFill="1" applyBorder="1" applyAlignment="1" applyProtection="1">
      <alignment vertical="center"/>
    </xf>
    <xf numFmtId="164" fontId="3" fillId="14" borderId="2" xfId="0" applyNumberFormat="1" applyFont="1" applyFill="1" applyBorder="1" applyAlignment="1">
      <alignment vertical="center"/>
    </xf>
    <xf numFmtId="164" fontId="3" fillId="13" borderId="2" xfId="0" applyNumberFormat="1" applyFont="1" applyFill="1" applyBorder="1" applyAlignment="1">
      <alignment vertical="center"/>
    </xf>
    <xf numFmtId="164" fontId="0" fillId="12" borderId="0" xfId="0" applyNumberFormat="1" applyFill="1"/>
    <xf numFmtId="164" fontId="0" fillId="14" borderId="0" xfId="0" applyNumberFormat="1" applyFill="1"/>
    <xf numFmtId="0" fontId="0" fillId="14" borderId="0" xfId="0" applyFill="1"/>
    <xf numFmtId="164" fontId="4" fillId="4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/>
    </xf>
    <xf numFmtId="164" fontId="6" fillId="9" borderId="2" xfId="1" applyNumberFormat="1" applyFont="1" applyFill="1" applyBorder="1" applyAlignment="1" applyProtection="1">
      <alignment horizontal="right" vertical="center"/>
    </xf>
    <xf numFmtId="9" fontId="4" fillId="0" borderId="2" xfId="0" applyNumberFormat="1" applyFont="1" applyBorder="1"/>
    <xf numFmtId="164" fontId="17" fillId="4" borderId="2" xfId="0" applyNumberFormat="1" applyFont="1" applyFill="1" applyBorder="1" applyAlignment="1">
      <alignment horizontal="right" vertical="center" wrapText="1"/>
    </xf>
    <xf numFmtId="164" fontId="17" fillId="9" borderId="2" xfId="0" applyNumberFormat="1" applyFont="1" applyFill="1" applyBorder="1" applyAlignment="1">
      <alignment horizontal="right" vertical="center" wrapText="1"/>
    </xf>
    <xf numFmtId="164" fontId="17" fillId="9" borderId="1" xfId="0" applyNumberFormat="1" applyFont="1" applyFill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vertical="center"/>
    </xf>
    <xf numFmtId="164" fontId="16" fillId="4" borderId="2" xfId="0" applyNumberFormat="1" applyFont="1" applyFill="1" applyBorder="1" applyAlignment="1">
      <alignment vertical="center"/>
    </xf>
    <xf numFmtId="164" fontId="4" fillId="9" borderId="2" xfId="0" applyNumberFormat="1" applyFont="1" applyFill="1" applyBorder="1" applyAlignment="1">
      <alignment vertical="center" wrapText="1"/>
    </xf>
    <xf numFmtId="164" fontId="16" fillId="11" borderId="2" xfId="0" applyNumberFormat="1" applyFont="1" applyFill="1" applyBorder="1" applyAlignment="1">
      <alignment vertical="center"/>
    </xf>
    <xf numFmtId="164" fontId="16" fillId="4" borderId="0" xfId="0" applyNumberFormat="1" applyFont="1" applyFill="1" applyAlignment="1">
      <alignment vertical="center"/>
    </xf>
    <xf numFmtId="9" fontId="24" fillId="7" borderId="1" xfId="2" applyNumberFormat="1" applyFont="1" applyBorder="1" applyAlignment="1" applyProtection="1">
      <alignment vertical="center" wrapText="1"/>
      <protection locked="0"/>
    </xf>
    <xf numFmtId="38" fontId="25" fillId="7" borderId="1" xfId="2" applyNumberFormat="1" applyFont="1" applyBorder="1" applyAlignment="1" applyProtection="1">
      <alignment vertical="center" wrapText="1"/>
      <protection locked="0"/>
    </xf>
    <xf numFmtId="3" fontId="4" fillId="12" borderId="1" xfId="0" applyNumberFormat="1" applyFont="1" applyFill="1" applyBorder="1" applyAlignment="1" applyProtection="1">
      <alignment vertical="center" wrapText="1"/>
      <protection locked="0"/>
    </xf>
    <xf numFmtId="3" fontId="26" fillId="12" borderId="1" xfId="0" applyNumberFormat="1" applyFont="1" applyFill="1" applyBorder="1" applyAlignment="1" applyProtection="1">
      <alignment vertical="center" wrapText="1"/>
      <protection locked="0"/>
    </xf>
    <xf numFmtId="3" fontId="4" fillId="12" borderId="1" xfId="0" quotePrefix="1" applyNumberFormat="1" applyFont="1" applyFill="1" applyBorder="1" applyAlignment="1" applyProtection="1">
      <alignment vertical="center" wrapText="1"/>
      <protection locked="0"/>
    </xf>
    <xf numFmtId="3" fontId="26" fillId="12" borderId="1" xfId="0" quotePrefix="1" applyNumberFormat="1" applyFont="1" applyFill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25" fillId="7" borderId="1" xfId="2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16" fillId="1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6" fillId="13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14" borderId="3" xfId="0" applyFill="1" applyBorder="1"/>
    <xf numFmtId="0" fontId="0" fillId="14" borderId="1" xfId="0" applyFill="1" applyBorder="1"/>
    <xf numFmtId="0" fontId="14" fillId="13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2" fillId="6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/>
    <xf numFmtId="3" fontId="0" fillId="0" borderId="0" xfId="0" applyNumberFormat="1" applyAlignment="1">
      <alignment horizontal="right"/>
    </xf>
    <xf numFmtId="0" fontId="29" fillId="0" borderId="6" xfId="0" applyFont="1" applyBorder="1"/>
    <xf numFmtId="0" fontId="28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top" wrapText="1"/>
    </xf>
  </cellXfs>
  <cellStyles count="4">
    <cellStyle name="Currency" xfId="3" builtinId="4"/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58317</xdr:colOff>
      <xdr:row>0</xdr:row>
      <xdr:rowOff>58317</xdr:rowOff>
    </xdr:from>
    <xdr:to>
      <xdr:col>3</xdr:col>
      <xdr:colOff>1361233</xdr:colOff>
      <xdr:row>0</xdr:row>
      <xdr:rowOff>1488064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6C7A2-2D03-4698-AC45-F51C6B765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17" y="58317"/>
          <a:ext cx="6116735" cy="1429747"/>
        </a:xfrm>
        <a:prstGeom prst="rect">
          <a:avLst/>
        </a:prstGeom>
      </xdr:spPr>
    </xdr:pic>
    <xdr:clientData/>
  </xdr:twoCellAnchor>
  <xdr:twoCellAnchor>
    <xdr:from>
      <xdr:col>2</xdr:col>
      <xdr:colOff>89591</xdr:colOff>
      <xdr:row>1</xdr:row>
      <xdr:rowOff>56585</xdr:rowOff>
    </xdr:from>
    <xdr:to>
      <xdr:col>2</xdr:col>
      <xdr:colOff>584703</xdr:colOff>
      <xdr:row>1</xdr:row>
      <xdr:rowOff>174468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028BD82-E362-4E13-91CA-B30C1CB8B325}"/>
            </a:ext>
          </a:extLst>
        </xdr:cNvPr>
        <xdr:cNvSpPr/>
      </xdr:nvSpPr>
      <xdr:spPr>
        <a:xfrm>
          <a:off x="3734491" y="1618685"/>
          <a:ext cx="495112" cy="117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337704</xdr:colOff>
      <xdr:row>2</xdr:row>
      <xdr:rowOff>51877</xdr:rowOff>
    </xdr:from>
    <xdr:to>
      <xdr:col>2</xdr:col>
      <xdr:colOff>584700</xdr:colOff>
      <xdr:row>2</xdr:row>
      <xdr:rowOff>169760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93C73D7-0297-48F0-A9C0-C8DEAD6BE2F9}"/>
            </a:ext>
          </a:extLst>
        </xdr:cNvPr>
        <xdr:cNvSpPr/>
      </xdr:nvSpPr>
      <xdr:spPr>
        <a:xfrm>
          <a:off x="3982604" y="1798127"/>
          <a:ext cx="246996" cy="117883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90919</xdr:colOff>
      <xdr:row>2</xdr:row>
      <xdr:rowOff>51442</xdr:rowOff>
    </xdr:from>
    <xdr:to>
      <xdr:col>2</xdr:col>
      <xdr:colOff>329044</xdr:colOff>
      <xdr:row>2</xdr:row>
      <xdr:rowOff>169325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9EF97C7-104C-4AEF-8330-5EC66509BAD4}"/>
            </a:ext>
          </a:extLst>
        </xdr:cNvPr>
        <xdr:cNvSpPr/>
      </xdr:nvSpPr>
      <xdr:spPr>
        <a:xfrm>
          <a:off x="3735819" y="1797692"/>
          <a:ext cx="238125" cy="117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caalaska.net/call-proces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0F43-4803-46CC-8B7B-83855F26003C}">
  <dimension ref="A1:F66"/>
  <sheetViews>
    <sheetView tabSelected="1" topLeftCell="A26" zoomScale="98" zoomScaleNormal="98" workbookViewId="0">
      <selection activeCell="C33" sqref="C33"/>
    </sheetView>
  </sheetViews>
  <sheetFormatPr defaultRowHeight="14.5" x14ac:dyDescent="0.35"/>
  <cols>
    <col min="1" max="1" width="15.453125" customWidth="1"/>
    <col min="2" max="2" width="37.81640625" customWidth="1"/>
    <col min="3" max="3" width="16.26953125" customWidth="1"/>
    <col min="4" max="4" width="20.453125" customWidth="1"/>
  </cols>
  <sheetData>
    <row r="1" spans="1:6" ht="123" customHeight="1" x14ac:dyDescent="0.35">
      <c r="A1" s="100"/>
      <c r="B1" s="112"/>
      <c r="C1" s="112"/>
      <c r="D1" s="113"/>
    </row>
    <row r="2" spans="1:6" ht="19.5" customHeight="1" x14ac:dyDescent="0.35">
      <c r="A2" s="114" t="s">
        <v>0</v>
      </c>
      <c r="B2" s="37" t="s">
        <v>1</v>
      </c>
      <c r="C2" s="38"/>
      <c r="D2" s="39" t="s">
        <v>2</v>
      </c>
    </row>
    <row r="3" spans="1:6" ht="26.5" customHeight="1" x14ac:dyDescent="0.35">
      <c r="A3" s="114"/>
      <c r="B3" s="37" t="s">
        <v>24</v>
      </c>
      <c r="C3" s="40"/>
      <c r="D3" s="41" t="s">
        <v>3</v>
      </c>
    </row>
    <row r="4" spans="1:6" ht="8.15" customHeight="1" x14ac:dyDescent="0.35">
      <c r="A4" s="33"/>
      <c r="B4" s="19"/>
      <c r="C4" s="19"/>
      <c r="D4" s="36"/>
    </row>
    <row r="5" spans="1:6" ht="15.5" x14ac:dyDescent="0.35">
      <c r="A5" s="9" t="s">
        <v>4</v>
      </c>
      <c r="B5" s="9" t="s">
        <v>25</v>
      </c>
      <c r="C5" s="9" t="s">
        <v>5</v>
      </c>
      <c r="D5" s="9" t="s">
        <v>6</v>
      </c>
    </row>
    <row r="6" spans="1:6" ht="26.5" customHeight="1" x14ac:dyDescent="0.35">
      <c r="A6" s="10"/>
      <c r="B6" s="10"/>
      <c r="C6" s="115" t="s">
        <v>26</v>
      </c>
      <c r="D6" s="115"/>
    </row>
    <row r="7" spans="1:6" ht="19" customHeight="1" x14ac:dyDescent="0.35">
      <c r="A7" s="11"/>
      <c r="B7" s="12"/>
      <c r="C7" s="13" t="s">
        <v>27</v>
      </c>
      <c r="D7" s="81" t="s">
        <v>38</v>
      </c>
    </row>
    <row r="8" spans="1:6" ht="8.15" customHeight="1" x14ac:dyDescent="0.35">
      <c r="A8" s="85"/>
      <c r="B8" s="86"/>
      <c r="C8" s="86"/>
      <c r="D8" s="87"/>
    </row>
    <row r="9" spans="1:6" ht="15" customHeight="1" x14ac:dyDescent="0.35">
      <c r="A9" s="9" t="s">
        <v>29</v>
      </c>
      <c r="B9" s="116" t="s">
        <v>30</v>
      </c>
      <c r="C9" s="116"/>
      <c r="D9" s="116"/>
    </row>
    <row r="10" spans="1:6" ht="98.15" customHeight="1" x14ac:dyDescent="0.35">
      <c r="A10" s="14" t="s">
        <v>103</v>
      </c>
      <c r="B10" s="15" t="s">
        <v>108</v>
      </c>
      <c r="C10" s="95"/>
      <c r="D10" s="95"/>
      <c r="F10" s="82"/>
    </row>
    <row r="11" spans="1:6" ht="16" customHeight="1" x14ac:dyDescent="0.35">
      <c r="A11" s="99"/>
      <c r="B11" s="99"/>
      <c r="C11" s="13" t="s">
        <v>7</v>
      </c>
      <c r="D11" s="69">
        <f>+VLOOKUP(D7,'Data Table'!E1:F2,2,FALSE)</f>
        <v>46634</v>
      </c>
    </row>
    <row r="12" spans="1:6" ht="8.15" customHeight="1" x14ac:dyDescent="0.35">
      <c r="A12" s="85"/>
      <c r="B12" s="86"/>
      <c r="C12" s="86"/>
      <c r="D12" s="87"/>
    </row>
    <row r="13" spans="1:6" ht="70" customHeight="1" x14ac:dyDescent="0.35">
      <c r="A13" s="16" t="s">
        <v>11</v>
      </c>
      <c r="B13" s="15" t="s">
        <v>31</v>
      </c>
      <c r="C13" s="101" t="s">
        <v>94</v>
      </c>
      <c r="D13" s="101"/>
    </row>
    <row r="14" spans="1:6" x14ac:dyDescent="0.35">
      <c r="A14" s="42"/>
      <c r="B14" s="18" t="s">
        <v>12</v>
      </c>
      <c r="C14" s="4"/>
      <c r="D14" s="68">
        <f>(IF(C14&lt;46,C14*'Data Table'!F3,"ERROR"))</f>
        <v>0</v>
      </c>
    </row>
    <row r="15" spans="1:6" ht="8.15" customHeight="1" x14ac:dyDescent="0.35">
      <c r="A15" s="99"/>
      <c r="B15" s="99"/>
      <c r="C15" s="99"/>
      <c r="D15" s="99"/>
    </row>
    <row r="16" spans="1:6" ht="112" customHeight="1" x14ac:dyDescent="0.35">
      <c r="A16" s="16" t="s">
        <v>32</v>
      </c>
      <c r="B16" s="15" t="s">
        <v>14</v>
      </c>
      <c r="C16" s="111" t="s">
        <v>93</v>
      </c>
      <c r="D16" s="111"/>
    </row>
    <row r="17" spans="1:4" ht="31" customHeight="1" x14ac:dyDescent="0.35">
      <c r="A17" s="42"/>
      <c r="B17" s="18" t="s">
        <v>15</v>
      </c>
      <c r="C17" s="4"/>
      <c r="D17" s="67">
        <f>(IF(OR(C17&lt;17,C17=""),(C17*'Data Table'!F3)/2,"ERROR"))</f>
        <v>0</v>
      </c>
    </row>
    <row r="18" spans="1:4" ht="8.15" customHeight="1" x14ac:dyDescent="0.35">
      <c r="A18" s="42"/>
      <c r="B18" s="19"/>
      <c r="C18" s="19"/>
      <c r="D18" s="19"/>
    </row>
    <row r="19" spans="1:4" ht="16" customHeight="1" x14ac:dyDescent="0.35">
      <c r="A19" s="16"/>
      <c r="B19" s="18"/>
      <c r="C19" s="13" t="s">
        <v>9</v>
      </c>
      <c r="D19" s="65">
        <f>SUM(D17,D14,D11)</f>
        <v>46634</v>
      </c>
    </row>
    <row r="20" spans="1:4" ht="7.5" customHeight="1" x14ac:dyDescent="0.35">
      <c r="A20" s="86"/>
      <c r="B20" s="86"/>
      <c r="C20" s="86"/>
      <c r="D20" s="87"/>
    </row>
    <row r="21" spans="1:4" ht="44.25" customHeight="1" x14ac:dyDescent="0.35">
      <c r="A21" s="16" t="s">
        <v>73</v>
      </c>
      <c r="B21" s="15" t="s">
        <v>75</v>
      </c>
      <c r="C21" s="95" t="s">
        <v>92</v>
      </c>
      <c r="D21" s="96"/>
    </row>
    <row r="22" spans="1:4" ht="16.5" customHeight="1" x14ac:dyDescent="0.35">
      <c r="A22" s="19"/>
      <c r="B22" s="20" t="s">
        <v>74</v>
      </c>
      <c r="C22" s="8"/>
      <c r="D22" s="66">
        <f>IF(OR(C22="y",C22="yes",C22=""),0,(IF(OR(C22="n",C22="no"),(0.3*D19),"ERROR")))</f>
        <v>0</v>
      </c>
    </row>
    <row r="23" spans="1:4" ht="8.15" customHeight="1" x14ac:dyDescent="0.35">
      <c r="A23" s="86"/>
      <c r="B23" s="86"/>
      <c r="C23" s="86"/>
      <c r="D23" s="87"/>
    </row>
    <row r="24" spans="1:4" ht="16" customHeight="1" x14ac:dyDescent="0.35">
      <c r="A24" s="16"/>
      <c r="B24" s="18"/>
      <c r="C24" s="13" t="s">
        <v>10</v>
      </c>
      <c r="D24" s="65">
        <f>SUM(D19,D22)</f>
        <v>46634</v>
      </c>
    </row>
    <row r="25" spans="1:4" ht="8.15" customHeight="1" x14ac:dyDescent="0.35">
      <c r="A25" s="85"/>
      <c r="B25" s="86"/>
      <c r="C25" s="86"/>
      <c r="D25" s="87"/>
    </row>
    <row r="26" spans="1:4" ht="141.75" customHeight="1" x14ac:dyDescent="0.35">
      <c r="A26" s="16" t="s">
        <v>8</v>
      </c>
      <c r="B26" s="15" t="s">
        <v>62</v>
      </c>
      <c r="C26" s="95" t="s">
        <v>90</v>
      </c>
      <c r="D26" s="97"/>
    </row>
    <row r="27" spans="1:4" ht="29.15" customHeight="1" x14ac:dyDescent="0.35">
      <c r="A27" s="21"/>
      <c r="B27" s="20" t="s">
        <v>41</v>
      </c>
      <c r="C27" s="80" t="s">
        <v>42</v>
      </c>
      <c r="D27" s="64">
        <f>+VLOOKUP(C27,'Data Table'!A2:B14,2,FALSE)</f>
        <v>0</v>
      </c>
    </row>
    <row r="28" spans="1:4" ht="15.65" customHeight="1" x14ac:dyDescent="0.35">
      <c r="A28" s="33"/>
      <c r="B28" s="22" t="s">
        <v>76</v>
      </c>
      <c r="C28" s="23"/>
      <c r="D28" s="63">
        <f>(D24*D27)</f>
        <v>0</v>
      </c>
    </row>
    <row r="29" spans="1:4" ht="8.15" customHeight="1" x14ac:dyDescent="0.35">
      <c r="A29" s="85"/>
      <c r="B29" s="86"/>
      <c r="C29" s="86"/>
      <c r="D29" s="87"/>
    </row>
    <row r="30" spans="1:4" ht="15.5" x14ac:dyDescent="0.35">
      <c r="A30" s="33"/>
      <c r="B30" s="22" t="s">
        <v>40</v>
      </c>
      <c r="C30" s="23" t="s">
        <v>13</v>
      </c>
      <c r="D30" s="62">
        <f>SUM(D24,D28)</f>
        <v>46634</v>
      </c>
    </row>
    <row r="31" spans="1:4" ht="8.15" customHeight="1" x14ac:dyDescent="0.35">
      <c r="A31" s="33"/>
      <c r="B31" s="19"/>
      <c r="C31" s="19"/>
      <c r="D31" s="36"/>
    </row>
    <row r="32" spans="1:4" ht="112" customHeight="1" x14ac:dyDescent="0.35">
      <c r="A32" s="16" t="s">
        <v>16</v>
      </c>
      <c r="B32" s="15" t="s">
        <v>56</v>
      </c>
      <c r="C32" s="95" t="s">
        <v>114</v>
      </c>
      <c r="D32" s="98"/>
    </row>
    <row r="33" spans="1:4" x14ac:dyDescent="0.35">
      <c r="A33" s="16"/>
      <c r="B33" s="43" t="s">
        <v>80</v>
      </c>
      <c r="C33" s="4"/>
      <c r="D33" s="51">
        <f>(IF(C33=1,((C33*'Data Table'!F3)*5),(IF(OR(C33=0,C33=""),0,"ERROR"))))</f>
        <v>0</v>
      </c>
    </row>
    <row r="34" spans="1:4" ht="8.15" customHeight="1" x14ac:dyDescent="0.35">
      <c r="A34" s="99"/>
      <c r="B34" s="99"/>
      <c r="C34" s="99"/>
      <c r="D34" s="100"/>
    </row>
    <row r="35" spans="1:4" ht="42" customHeight="1" x14ac:dyDescent="0.35">
      <c r="A35" s="24" t="s">
        <v>17</v>
      </c>
      <c r="B35" s="25" t="s">
        <v>18</v>
      </c>
      <c r="C35" s="95" t="s">
        <v>113</v>
      </c>
      <c r="D35" s="98"/>
    </row>
    <row r="36" spans="1:4" ht="28" customHeight="1" x14ac:dyDescent="0.35">
      <c r="A36" s="24"/>
      <c r="B36" s="26" t="s">
        <v>79</v>
      </c>
      <c r="C36" s="8"/>
      <c r="D36" s="52">
        <f>(IF(C36=1,(('Data Table'!F3)*2),(IF(OR(C36=0,C36=""),0,"ERROR"))))</f>
        <v>0</v>
      </c>
    </row>
    <row r="37" spans="1:4" ht="8.15" customHeight="1" x14ac:dyDescent="0.35">
      <c r="A37" s="33"/>
      <c r="B37" s="19"/>
      <c r="C37" s="19"/>
      <c r="D37" s="36"/>
    </row>
    <row r="38" spans="1:4" ht="32.15" customHeight="1" x14ac:dyDescent="0.35">
      <c r="A38" s="16" t="s">
        <v>77</v>
      </c>
      <c r="B38" s="108" t="s">
        <v>33</v>
      </c>
      <c r="C38" s="109"/>
      <c r="D38" s="110"/>
    </row>
    <row r="39" spans="1:4" ht="8.15" customHeight="1" x14ac:dyDescent="0.35">
      <c r="A39" s="90"/>
      <c r="B39" s="86"/>
      <c r="C39" s="86"/>
      <c r="D39" s="87"/>
    </row>
    <row r="40" spans="1:4" ht="16" customHeight="1" x14ac:dyDescent="0.35">
      <c r="A40" s="33"/>
      <c r="B40" s="20" t="s">
        <v>81</v>
      </c>
      <c r="C40" s="23" t="s">
        <v>78</v>
      </c>
      <c r="D40" s="70">
        <f>SUM(D30,D33,D36)</f>
        <v>46634</v>
      </c>
    </row>
    <row r="41" spans="1:4" ht="8.15" customHeight="1" x14ac:dyDescent="0.35">
      <c r="A41" s="85"/>
      <c r="B41" s="86"/>
      <c r="C41" s="86"/>
      <c r="D41" s="87"/>
    </row>
    <row r="42" spans="1:4" ht="16" customHeight="1" x14ac:dyDescent="0.35">
      <c r="A42" s="27" t="s">
        <v>19</v>
      </c>
      <c r="B42" s="91" t="s">
        <v>34</v>
      </c>
      <c r="C42" s="91"/>
      <c r="D42" s="92"/>
    </row>
    <row r="43" spans="1:4" ht="86.25" customHeight="1" x14ac:dyDescent="0.35">
      <c r="A43" s="16" t="s">
        <v>35</v>
      </c>
      <c r="B43" s="93" t="s">
        <v>55</v>
      </c>
      <c r="C43" s="93"/>
      <c r="D43" s="94"/>
    </row>
    <row r="44" spans="1:4" ht="43" customHeight="1" x14ac:dyDescent="0.35">
      <c r="A44" s="28"/>
      <c r="B44" s="44" t="s">
        <v>57</v>
      </c>
      <c r="C44" s="76"/>
      <c r="D44" s="53">
        <f>(IF(OR(ISNUMBER(C44),C44=""),C44,"ERROR"))</f>
        <v>0</v>
      </c>
    </row>
    <row r="45" spans="1:4" ht="43" customHeight="1" x14ac:dyDescent="0.35">
      <c r="A45" s="28"/>
      <c r="B45" s="45" t="s">
        <v>58</v>
      </c>
      <c r="C45" s="79"/>
      <c r="D45" s="53">
        <f>(IF(OR(ISNUMBER(C45),C45=""),C45,"ERROR"))</f>
        <v>0</v>
      </c>
    </row>
    <row r="46" spans="1:4" ht="56.15" customHeight="1" x14ac:dyDescent="0.35">
      <c r="A46" s="28"/>
      <c r="B46" s="46" t="s">
        <v>59</v>
      </c>
      <c r="C46" s="78"/>
      <c r="D46" s="54">
        <f>(IF(OR(ISNUMBER(C46),C46=""),C46,"ERROR"))</f>
        <v>0</v>
      </c>
    </row>
    <row r="47" spans="1:4" ht="43" customHeight="1" x14ac:dyDescent="0.35">
      <c r="A47" s="28"/>
      <c r="B47" s="47" t="s">
        <v>60</v>
      </c>
      <c r="C47" s="77"/>
      <c r="D47" s="55">
        <f>(IF(OR(ISNUMBER(C47),C47=""),C47,"ERROR"))</f>
        <v>0</v>
      </c>
    </row>
    <row r="48" spans="1:4" ht="56.15" customHeight="1" x14ac:dyDescent="0.35">
      <c r="A48" s="28"/>
      <c r="B48" s="44" t="s">
        <v>61</v>
      </c>
      <c r="C48" s="76"/>
      <c r="D48" s="53">
        <f>(IF(OR(ISNUMBER(C48),C48=""),C48,"ERROR"))</f>
        <v>0</v>
      </c>
    </row>
    <row r="49" spans="1:4" ht="70" x14ac:dyDescent="0.35">
      <c r="A49" s="16" t="s">
        <v>20</v>
      </c>
      <c r="B49" s="15" t="s">
        <v>21</v>
      </c>
      <c r="C49" s="101" t="s">
        <v>115</v>
      </c>
      <c r="D49" s="102"/>
    </row>
    <row r="50" spans="1:4" ht="28" x14ac:dyDescent="0.35">
      <c r="A50" s="29"/>
      <c r="B50" s="30" t="s">
        <v>22</v>
      </c>
      <c r="C50" s="75"/>
      <c r="D50" s="71">
        <f>(IF(OR(C50&lt;11,C50=""),(C50*'Data Table'!F3),"ERROR"))</f>
        <v>0</v>
      </c>
    </row>
    <row r="51" spans="1:4" ht="8.15" customHeight="1" x14ac:dyDescent="0.35">
      <c r="A51" s="99"/>
      <c r="B51" s="99"/>
      <c r="C51" s="99"/>
      <c r="D51" s="100"/>
    </row>
    <row r="52" spans="1:4" ht="99" customHeight="1" x14ac:dyDescent="0.35">
      <c r="A52" s="28"/>
      <c r="B52" s="48"/>
      <c r="C52" s="101" t="s">
        <v>85</v>
      </c>
      <c r="D52" s="102"/>
    </row>
    <row r="53" spans="1:4" ht="15.65" customHeight="1" x14ac:dyDescent="0.35">
      <c r="A53" s="49"/>
      <c r="B53" s="35" t="s">
        <v>86</v>
      </c>
      <c r="C53" s="23" t="s">
        <v>83</v>
      </c>
      <c r="D53" s="61">
        <f>SUM(D40,D44,D45,D46,D47,D48,D50)</f>
        <v>46634</v>
      </c>
    </row>
    <row r="54" spans="1:4" ht="15.5" x14ac:dyDescent="0.35">
      <c r="A54" s="49"/>
      <c r="B54" s="30" t="s">
        <v>39</v>
      </c>
      <c r="C54" s="74">
        <v>1</v>
      </c>
      <c r="D54" s="17"/>
    </row>
    <row r="55" spans="1:4" ht="15.5" x14ac:dyDescent="0.35">
      <c r="A55" s="33"/>
      <c r="B55" s="50" t="s">
        <v>82</v>
      </c>
      <c r="C55" s="31" t="s">
        <v>84</v>
      </c>
      <c r="D55" s="70">
        <f>(IF(AND(C54&lt;101%,C54&gt;0),C54*D53,"ERROR"))</f>
        <v>46634</v>
      </c>
    </row>
    <row r="56" spans="1:4" ht="57" customHeight="1" x14ac:dyDescent="0.35">
      <c r="A56" s="33"/>
      <c r="B56" s="105" t="s">
        <v>95</v>
      </c>
      <c r="C56" s="106"/>
      <c r="D56" s="107"/>
    </row>
    <row r="57" spans="1:4" ht="8.15" customHeight="1" x14ac:dyDescent="0.35">
      <c r="A57" s="85"/>
      <c r="B57" s="86"/>
      <c r="C57" s="86"/>
      <c r="D57" s="87"/>
    </row>
    <row r="58" spans="1:4" ht="15.65" customHeight="1" x14ac:dyDescent="0.35">
      <c r="A58" s="33" t="s">
        <v>73</v>
      </c>
      <c r="B58" s="50" t="s">
        <v>89</v>
      </c>
      <c r="C58" s="32"/>
      <c r="D58" s="72">
        <f>IF(OR(C22="y",C22="yes"),((0.3*D19)*C54),0)</f>
        <v>0</v>
      </c>
    </row>
    <row r="59" spans="1:4" ht="8.15" customHeight="1" x14ac:dyDescent="0.35">
      <c r="A59" s="85"/>
      <c r="B59" s="86"/>
      <c r="C59" s="86"/>
      <c r="D59" s="87"/>
    </row>
    <row r="60" spans="1:4" ht="15.65" customHeight="1" x14ac:dyDescent="0.35">
      <c r="A60" s="103" t="s">
        <v>36</v>
      </c>
      <c r="B60" s="104"/>
      <c r="C60" s="104"/>
      <c r="D60" s="56"/>
    </row>
    <row r="61" spans="1:4" ht="73.5" customHeight="1" x14ac:dyDescent="0.35">
      <c r="A61" s="34" t="s">
        <v>88</v>
      </c>
      <c r="B61" s="105" t="s">
        <v>91</v>
      </c>
      <c r="C61" s="106"/>
      <c r="D61" s="57"/>
    </row>
    <row r="62" spans="1:4" ht="15.65" customHeight="1" x14ac:dyDescent="0.35">
      <c r="A62" s="33"/>
      <c r="B62" s="88" t="s">
        <v>23</v>
      </c>
      <c r="C62" s="89"/>
      <c r="D62" s="70">
        <f>(D55*'Data Table'!F4)</f>
        <v>3567.5009999999997</v>
      </c>
    </row>
    <row r="63" spans="1:4" ht="9.65" customHeight="1" x14ac:dyDescent="0.35">
      <c r="A63" s="85"/>
      <c r="B63" s="86"/>
      <c r="C63" s="86"/>
      <c r="D63" s="87"/>
    </row>
    <row r="64" spans="1:4" ht="15.65" customHeight="1" x14ac:dyDescent="0.35">
      <c r="A64" s="33"/>
      <c r="B64" s="83" t="s">
        <v>105</v>
      </c>
      <c r="C64" s="84"/>
      <c r="D64" s="70">
        <f>SUM(D55,D62)</f>
        <v>50201.500999999997</v>
      </c>
    </row>
    <row r="65" spans="2:4" ht="7.5" customHeight="1" x14ac:dyDescent="0.35"/>
    <row r="66" spans="2:4" ht="15.65" customHeight="1" x14ac:dyDescent="0.35">
      <c r="B66" s="83" t="s">
        <v>104</v>
      </c>
      <c r="C66" s="84"/>
      <c r="D66" s="73">
        <f>(D58+D64)</f>
        <v>50201.500999999997</v>
      </c>
    </row>
  </sheetData>
  <sheetProtection algorithmName="SHA-512" hashValue="BVfAF/ZzruEDrWkmK8LoUtaYgRv6IGRcgLVTbKAmnFcLDdSxEgHZN9sS89LHGQtR4pVyEuac4hnwhekLR3FCgg==" saltValue="rMYWoiwnG1Bd8SQxgSsWww==" spinCount="100000" sheet="1" objects="1" scenarios="1"/>
  <mergeCells count="37">
    <mergeCell ref="A1:D1"/>
    <mergeCell ref="A2:A3"/>
    <mergeCell ref="C6:D6"/>
    <mergeCell ref="B9:D9"/>
    <mergeCell ref="C10:D10"/>
    <mergeCell ref="C13:D13"/>
    <mergeCell ref="C16:D16"/>
    <mergeCell ref="A15:D15"/>
    <mergeCell ref="A20:D20"/>
    <mergeCell ref="A11:B11"/>
    <mergeCell ref="A34:D34"/>
    <mergeCell ref="B64:C64"/>
    <mergeCell ref="C49:D49"/>
    <mergeCell ref="A51:D51"/>
    <mergeCell ref="C52:D52"/>
    <mergeCell ref="A63:D63"/>
    <mergeCell ref="A60:C60"/>
    <mergeCell ref="B61:C61"/>
    <mergeCell ref="B56:D56"/>
    <mergeCell ref="C35:D35"/>
    <mergeCell ref="B38:D38"/>
    <mergeCell ref="B66:C66"/>
    <mergeCell ref="A12:D12"/>
    <mergeCell ref="A8:D8"/>
    <mergeCell ref="B62:C62"/>
    <mergeCell ref="A59:D59"/>
    <mergeCell ref="A57:D57"/>
    <mergeCell ref="A41:D41"/>
    <mergeCell ref="A39:D39"/>
    <mergeCell ref="A23:D23"/>
    <mergeCell ref="A29:D29"/>
    <mergeCell ref="A25:D25"/>
    <mergeCell ref="B42:D42"/>
    <mergeCell ref="B43:D43"/>
    <mergeCell ref="C21:D21"/>
    <mergeCell ref="C26:D26"/>
    <mergeCell ref="C32:D32"/>
  </mergeCells>
  <hyperlinks>
    <hyperlink ref="D3" r:id="rId1" xr:uid="{A3655561-9E28-49C3-AC87-13CC0EE89709}"/>
  </hyperlinks>
  <pageMargins left="0.7" right="0.7" top="0.75" bottom="0.75" header="0.3" footer="0.3"/>
  <pageSetup orientation="portrait" horizontalDpi="0" verticalDpi="0" r:id="rId2"/>
  <rowBreaks count="3" manualBreakCount="3">
    <brk id="20" max="16383" man="1"/>
    <brk id="41" max="16383" man="1"/>
    <brk id="57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46B2BE-B7C6-46CC-9C49-8AD910F39F28}">
          <x14:formula1>
            <xm:f>'Roster Choices'!$A$2:$A$3</xm:f>
          </x14:formula1>
          <xm:sqref>D7</xm:sqref>
        </x14:dataValidation>
        <x14:dataValidation type="list" allowBlank="1" showInputMessage="1" showErrorMessage="1" xr:uid="{44F3629F-564C-452B-A569-AC0782BD2342}">
          <x14:formula1>
            <xm:f>'Data Table'!$A$2:$A$14</xm:f>
          </x14:formula1>
          <xm:sqref>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7BDD-11DE-4C3E-B49B-C6F9AF39E2BF}">
  <dimension ref="A1:J20"/>
  <sheetViews>
    <sheetView workbookViewId="0">
      <selection activeCell="C21" sqref="C21"/>
    </sheetView>
  </sheetViews>
  <sheetFormatPr defaultColWidth="8.81640625" defaultRowHeight="14.5" x14ac:dyDescent="0.35"/>
  <cols>
    <col min="1" max="1" width="47.453125" customWidth="1"/>
    <col min="2" max="2" width="11.81640625" customWidth="1"/>
    <col min="3" max="3" width="29.453125" customWidth="1"/>
    <col min="4" max="4" width="6.81640625" customWidth="1"/>
    <col min="5" max="5" width="27" customWidth="1"/>
    <col min="6" max="6" width="10.54296875" customWidth="1"/>
  </cols>
  <sheetData>
    <row r="1" spans="1:10" x14ac:dyDescent="0.35">
      <c r="A1" t="s">
        <v>44</v>
      </c>
      <c r="B1" t="s">
        <v>45</v>
      </c>
      <c r="C1" t="s">
        <v>64</v>
      </c>
      <c r="E1" t="s">
        <v>38</v>
      </c>
      <c r="F1" s="119">
        <v>46634</v>
      </c>
      <c r="G1" s="117" t="s">
        <v>38</v>
      </c>
      <c r="H1" s="117"/>
      <c r="I1" s="117"/>
    </row>
    <row r="2" spans="1:10" x14ac:dyDescent="0.35">
      <c r="A2" t="s">
        <v>42</v>
      </c>
      <c r="B2" s="6">
        <v>0</v>
      </c>
      <c r="E2" t="s">
        <v>28</v>
      </c>
      <c r="F2" s="119">
        <f>(F1-10000)</f>
        <v>36634</v>
      </c>
      <c r="G2" t="s">
        <v>71</v>
      </c>
    </row>
    <row r="3" spans="1:10" x14ac:dyDescent="0.35">
      <c r="A3" t="s">
        <v>69</v>
      </c>
      <c r="B3" s="6">
        <v>0.03</v>
      </c>
      <c r="C3" t="s">
        <v>43</v>
      </c>
      <c r="E3" t="s">
        <v>72</v>
      </c>
      <c r="F3">
        <v>1040</v>
      </c>
      <c r="G3" s="117" t="s">
        <v>109</v>
      </c>
      <c r="H3" s="117"/>
      <c r="I3" s="117"/>
      <c r="J3" s="117"/>
    </row>
    <row r="4" spans="1:10" x14ac:dyDescent="0.35">
      <c r="A4" t="s">
        <v>46</v>
      </c>
      <c r="B4" s="6">
        <v>0.11</v>
      </c>
      <c r="E4" t="s">
        <v>87</v>
      </c>
      <c r="F4" s="5">
        <v>7.6499999999999999E-2</v>
      </c>
    </row>
    <row r="5" spans="1:10" x14ac:dyDescent="0.35">
      <c r="A5" s="3" t="s">
        <v>67</v>
      </c>
      <c r="B5" s="6">
        <v>0.05</v>
      </c>
      <c r="C5" t="s">
        <v>68</v>
      </c>
      <c r="E5" t="str">
        <f>E1</f>
        <v>Word &amp; Sacrament</v>
      </c>
      <c r="J5" s="2">
        <v>44840</v>
      </c>
    </row>
    <row r="6" spans="1:10" x14ac:dyDescent="0.35">
      <c r="A6" s="3" t="s">
        <v>66</v>
      </c>
      <c r="B6" s="6">
        <v>0.02</v>
      </c>
      <c r="C6" t="s">
        <v>47</v>
      </c>
      <c r="J6" s="2">
        <v>34840</v>
      </c>
    </row>
    <row r="7" spans="1:10" x14ac:dyDescent="0.35">
      <c r="A7" t="s">
        <v>48</v>
      </c>
      <c r="B7" s="6">
        <v>-0.05</v>
      </c>
      <c r="G7" s="117" t="s">
        <v>106</v>
      </c>
      <c r="H7" s="117"/>
      <c r="I7" s="117"/>
      <c r="J7" s="118"/>
    </row>
    <row r="8" spans="1:10" ht="15" thickBot="1" x14ac:dyDescent="0.4">
      <c r="A8" s="3" t="s">
        <v>65</v>
      </c>
      <c r="B8" s="6">
        <v>0.01</v>
      </c>
      <c r="C8" t="s">
        <v>49</v>
      </c>
      <c r="F8" s="6">
        <v>0.04</v>
      </c>
      <c r="G8">
        <v>2024</v>
      </c>
    </row>
    <row r="9" spans="1:10" ht="15" thickTop="1" x14ac:dyDescent="0.35">
      <c r="A9" t="s">
        <v>50</v>
      </c>
      <c r="B9" s="6">
        <v>0.39</v>
      </c>
      <c r="E9" s="120" t="s">
        <v>110</v>
      </c>
      <c r="G9">
        <v>2025</v>
      </c>
    </row>
    <row r="10" spans="1:10" x14ac:dyDescent="0.35">
      <c r="A10" t="s">
        <v>51</v>
      </c>
      <c r="B10" s="6">
        <v>0.05</v>
      </c>
      <c r="E10" s="121" t="s">
        <v>107</v>
      </c>
      <c r="G10">
        <v>2026</v>
      </c>
    </row>
    <row r="11" spans="1:10" x14ac:dyDescent="0.35">
      <c r="A11" t="s">
        <v>52</v>
      </c>
      <c r="B11" s="6">
        <v>0.08</v>
      </c>
      <c r="E11" s="122"/>
      <c r="G11">
        <v>2027</v>
      </c>
    </row>
    <row r="12" spans="1:10" x14ac:dyDescent="0.35">
      <c r="A12" t="s">
        <v>70</v>
      </c>
      <c r="B12" s="6">
        <v>0.53</v>
      </c>
      <c r="E12" s="123"/>
      <c r="G12">
        <v>2028</v>
      </c>
    </row>
    <row r="13" spans="1:10" ht="15" thickBot="1" x14ac:dyDescent="0.4">
      <c r="A13" t="s">
        <v>63</v>
      </c>
      <c r="B13" s="6">
        <v>0.61</v>
      </c>
      <c r="C13" t="s">
        <v>53</v>
      </c>
      <c r="E13" s="124"/>
    </row>
    <row r="14" spans="1:10" ht="15.5" thickTop="1" thickBot="1" x14ac:dyDescent="0.4">
      <c r="A14" t="s">
        <v>54</v>
      </c>
      <c r="B14" s="6">
        <v>0.27</v>
      </c>
    </row>
    <row r="15" spans="1:10" ht="15.65" customHeight="1" thickTop="1" x14ac:dyDescent="0.35">
      <c r="E15" s="120" t="s">
        <v>111</v>
      </c>
    </row>
    <row r="16" spans="1:10" x14ac:dyDescent="0.35">
      <c r="E16" s="121" t="s">
        <v>112</v>
      </c>
    </row>
    <row r="17" spans="5:5" x14ac:dyDescent="0.35">
      <c r="E17" s="122"/>
    </row>
    <row r="18" spans="5:5" x14ac:dyDescent="0.35">
      <c r="E18" s="122"/>
    </row>
    <row r="19" spans="5:5" ht="15" thickBot="1" x14ac:dyDescent="0.4">
      <c r="E19" s="125"/>
    </row>
    <row r="20" spans="5:5" ht="15" thickTop="1" x14ac:dyDescent="0.35"/>
  </sheetData>
  <sheetProtection algorithmName="SHA-512" hashValue="59EPr3BhRUYEGEaj26pvYGcJR1yJ1uz/dzBgqHUODafl2r79Lgbrj+wy/SQwUBmPLe+NSTkXnhucDlhfHy+deA==" saltValue="KhVFqjrpzzkUIIg0aOKT0A==" spinCount="100000" sheet="1" objects="1" scenarios="1"/>
  <mergeCells count="5">
    <mergeCell ref="E16:E19"/>
    <mergeCell ref="G7:I7"/>
    <mergeCell ref="G1:I1"/>
    <mergeCell ref="E10:E13"/>
    <mergeCell ref="G3:J3"/>
  </mergeCells>
  <dataValidations disablePrompts="1" count="1">
    <dataValidation type="list" allowBlank="1" showInputMessage="1" showErrorMessage="1" sqref="B1" xr:uid="{7E6D2FCB-8ADB-47AE-A444-ADEA9EC70D18}">
      <formula1>$A$1:$A$2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3D88-109D-45AA-B1B2-08B031F7AEF8}">
  <dimension ref="B6:G15"/>
  <sheetViews>
    <sheetView workbookViewId="0">
      <selection activeCell="F11" sqref="F11"/>
    </sheetView>
  </sheetViews>
  <sheetFormatPr defaultRowHeight="14.5" x14ac:dyDescent="0.35"/>
  <cols>
    <col min="2" max="2" width="14.54296875" customWidth="1"/>
    <col min="3" max="3" width="9" customWidth="1"/>
    <col min="5" max="5" width="11.26953125" customWidth="1"/>
  </cols>
  <sheetData>
    <row r="6" spans="2:7" x14ac:dyDescent="0.35">
      <c r="B6" t="s">
        <v>96</v>
      </c>
      <c r="C6" s="7">
        <v>44840</v>
      </c>
      <c r="D6" s="7"/>
    </row>
    <row r="7" spans="2:7" x14ac:dyDescent="0.35">
      <c r="B7" t="s">
        <v>97</v>
      </c>
      <c r="C7" s="7">
        <v>15000</v>
      </c>
      <c r="D7" s="7"/>
      <c r="F7" s="7">
        <v>1000</v>
      </c>
    </row>
    <row r="8" spans="2:7" x14ac:dyDescent="0.35">
      <c r="B8" t="s">
        <v>99</v>
      </c>
      <c r="C8" s="7">
        <f>SUM(C6:C7)</f>
        <v>59840</v>
      </c>
      <c r="D8" s="7"/>
      <c r="E8" s="6">
        <v>0.3</v>
      </c>
      <c r="F8" s="58">
        <v>300</v>
      </c>
    </row>
    <row r="9" spans="2:7" x14ac:dyDescent="0.35">
      <c r="B9" t="s">
        <v>98</v>
      </c>
      <c r="C9" s="58">
        <f>(C8*0.3)</f>
        <v>17952</v>
      </c>
      <c r="D9" s="7"/>
      <c r="F9" s="7">
        <v>1300</v>
      </c>
    </row>
    <row r="10" spans="2:7" x14ac:dyDescent="0.35">
      <c r="B10" t="s">
        <v>99</v>
      </c>
      <c r="C10" s="7">
        <f>SUM(C8,C9)</f>
        <v>77792</v>
      </c>
      <c r="D10" s="7"/>
      <c r="E10" s="6">
        <v>-0.3</v>
      </c>
      <c r="F10" s="58">
        <v>390</v>
      </c>
    </row>
    <row r="11" spans="2:7" x14ac:dyDescent="0.35">
      <c r="B11" t="s">
        <v>100</v>
      </c>
      <c r="C11" s="7">
        <f>(C10*0.0765)</f>
        <v>5951.0879999999997</v>
      </c>
      <c r="D11" s="7"/>
      <c r="F11" s="7">
        <f>(F9-F10)</f>
        <v>910</v>
      </c>
    </row>
    <row r="12" spans="2:7" x14ac:dyDescent="0.35">
      <c r="B12" t="s">
        <v>99</v>
      </c>
      <c r="C12" s="7">
        <f>SUM(C10,C11)</f>
        <v>83743.088000000003</v>
      </c>
      <c r="D12" s="7"/>
      <c r="E12" t="s">
        <v>102</v>
      </c>
      <c r="F12" s="59">
        <f>(F7-F11)</f>
        <v>90</v>
      </c>
      <c r="G12" s="60" t="s">
        <v>101</v>
      </c>
    </row>
    <row r="13" spans="2:7" x14ac:dyDescent="0.35">
      <c r="B13" s="6">
        <v>-0.3</v>
      </c>
      <c r="C13" s="58">
        <f>(C12*0.3)</f>
        <v>25122.9264</v>
      </c>
      <c r="D13" s="7"/>
      <c r="F13" s="7"/>
    </row>
    <row r="14" spans="2:7" x14ac:dyDescent="0.35">
      <c r="C14" s="7">
        <f>(C10-C13)</f>
        <v>52669.073600000003</v>
      </c>
      <c r="D14" s="7"/>
    </row>
    <row r="15" spans="2:7" x14ac:dyDescent="0.35">
      <c r="B15" t="s">
        <v>102</v>
      </c>
      <c r="C15" s="59">
        <f>(C8-C14)</f>
        <v>7170.9263999999966</v>
      </c>
      <c r="D15" s="7"/>
    </row>
  </sheetData>
  <sheetProtection algorithmName="SHA-512" hashValue="mU87z4UvMALVcGHshhkkRX6qM2OWOJvlqz6FykQk93l2VsVGqrahCY4Wv2yogvfnKXyG9pI6xz5dJvdGeUIfPw==" saltValue="5tuJjET1s5rpvNDzD581Q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CD41-9755-4B20-93D5-E267C5B63CA7}">
  <dimension ref="A1:A3"/>
  <sheetViews>
    <sheetView workbookViewId="0">
      <selection activeCell="A4" sqref="A4"/>
    </sheetView>
  </sheetViews>
  <sheetFormatPr defaultColWidth="8.81640625" defaultRowHeight="14.5" x14ac:dyDescent="0.35"/>
  <cols>
    <col min="1" max="1" width="15.81640625" bestFit="1" customWidth="1"/>
  </cols>
  <sheetData>
    <row r="1" spans="1:1" x14ac:dyDescent="0.35">
      <c r="A1" s="1" t="s">
        <v>37</v>
      </c>
    </row>
    <row r="2" spans="1:1" x14ac:dyDescent="0.35">
      <c r="A2" t="s">
        <v>38</v>
      </c>
    </row>
    <row r="3" spans="1:1" x14ac:dyDescent="0.35">
      <c r="A3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389BA861F7A4A8095F410A406476B" ma:contentTypeVersion="4" ma:contentTypeDescription="Create a new document." ma:contentTypeScope="" ma:versionID="9ab9cdce6737e8bd7f3f3046b8907fd2">
  <xsd:schema xmlns:xsd="http://www.w3.org/2001/XMLSchema" xmlns:xs="http://www.w3.org/2001/XMLSchema" xmlns:p="http://schemas.microsoft.com/office/2006/metadata/properties" xmlns:ns2="19882009-c298-4bf5-a8a4-dac6c6867e83" targetNamespace="http://schemas.microsoft.com/office/2006/metadata/properties" ma:root="true" ma:fieldsID="7eda7945258f7d4b71ca2d878237f221" ns2:_="">
    <xsd:import namespace="19882009-c298-4bf5-a8a4-dac6c6867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82009-c298-4bf5-a8a4-dac6c6867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9DB0C-11CE-4CFB-BC4D-3617F16F14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9882009-c298-4bf5-a8a4-dac6c6867e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7E8086-36C8-400E-B4B4-EDAD198E1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45D4A-76A9-4D9B-90C0-69306C777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82009-c298-4bf5-a8a4-dac6c6867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Salary Worksheet</vt:lpstr>
      <vt:lpstr>Data Table</vt:lpstr>
      <vt:lpstr>Sheet3</vt:lpstr>
      <vt:lpstr>Roster 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 Yee</dc:creator>
  <cp:keywords/>
  <dc:description/>
  <cp:lastModifiedBy>James Roberts</cp:lastModifiedBy>
  <cp:revision/>
  <cp:lastPrinted>2023-01-06T00:46:00Z</cp:lastPrinted>
  <dcterms:created xsi:type="dcterms:W3CDTF">2021-09-16T17:50:51Z</dcterms:created>
  <dcterms:modified xsi:type="dcterms:W3CDTF">2023-12-14T22:36:07Z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0x010100505389BA861F7A4A8095F410A406476B</vt:lpwstr>
  </property>
</Properties>
</file>